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\Electronica y ciencia\Termometro-geiger\"/>
    </mc:Choice>
  </mc:AlternateContent>
  <bookViews>
    <workbookView xWindow="0" yWindow="0" windowWidth="18230" windowHeight="7900"/>
  </bookViews>
  <sheets>
    <sheet name="Hoja3" sheetId="3" r:id="rId1"/>
    <sheet name="Hoja1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3" l="1"/>
  <c r="L7" i="3"/>
  <c r="F7" i="3" l="1"/>
  <c r="F9" i="3" s="1"/>
  <c r="G19" i="3" s="1"/>
  <c r="B19" i="3"/>
  <c r="C19" i="3" s="1"/>
  <c r="D19" i="3" s="1"/>
  <c r="E19" i="3" s="1"/>
  <c r="B18" i="3"/>
  <c r="C18" i="3" s="1"/>
  <c r="D18" i="3" s="1"/>
  <c r="E18" i="3" s="1"/>
  <c r="B17" i="3"/>
  <c r="C17" i="3" s="1"/>
  <c r="D17" i="3" s="1"/>
  <c r="E17" i="3" s="1"/>
  <c r="B15" i="3"/>
  <c r="C15" i="3" s="1"/>
  <c r="D15" i="3" s="1"/>
  <c r="E15" i="3" s="1"/>
  <c r="B16" i="3"/>
  <c r="C16" i="3" s="1"/>
  <c r="D16" i="3" s="1"/>
  <c r="E16" i="3" s="1"/>
  <c r="B14" i="3"/>
  <c r="C14" i="3" s="1"/>
  <c r="D14" i="3" s="1"/>
  <c r="E14" i="3" s="1"/>
  <c r="M16" i="3"/>
  <c r="M15" i="3"/>
  <c r="G14" i="3" l="1"/>
  <c r="G17" i="3"/>
  <c r="G18" i="3"/>
  <c r="G16" i="3"/>
  <c r="F8" i="3"/>
  <c r="G15" i="3"/>
  <c r="M14" i="3"/>
  <c r="H18" i="3" l="1"/>
  <c r="I18" i="3" s="1"/>
  <c r="H16" i="3"/>
  <c r="I16" i="3" s="1"/>
  <c r="H17" i="3"/>
  <c r="I17" i="3" s="1"/>
  <c r="H15" i="3"/>
  <c r="I15" i="3" s="1"/>
  <c r="H19" i="3"/>
  <c r="I19" i="3" s="1"/>
  <c r="H23" i="3" l="1"/>
  <c r="H26" i="3" s="1"/>
  <c r="J14" i="3" s="1"/>
  <c r="I23" i="3"/>
  <c r="I26" i="3" s="1"/>
  <c r="J17" i="3" l="1"/>
  <c r="J13" i="3"/>
  <c r="J16" i="3"/>
  <c r="J15" i="3"/>
  <c r="J18" i="3"/>
  <c r="J19" i="3"/>
  <c r="K13" i="3"/>
  <c r="M21" i="3"/>
  <c r="M19" i="3"/>
  <c r="K14" i="3"/>
  <c r="K19" i="3"/>
  <c r="K18" i="3"/>
  <c r="K15" i="3"/>
  <c r="K16" i="3"/>
  <c r="K17" i="3"/>
  <c r="J23" i="3" l="1"/>
  <c r="K23" i="3"/>
</calcChain>
</file>

<file path=xl/sharedStrings.xml><?xml version="1.0" encoding="utf-8"?>
<sst xmlns="http://schemas.openxmlformats.org/spreadsheetml/2006/main" count="93" uniqueCount="80">
  <si>
    <t>R25</t>
  </si>
  <si>
    <t>B</t>
  </si>
  <si>
    <t>ohm</t>
  </si>
  <si>
    <t>K</t>
  </si>
  <si>
    <t>R NTC</t>
  </si>
  <si>
    <t>V div</t>
  </si>
  <si>
    <t>ADC</t>
  </si>
  <si>
    <t>Apertura</t>
  </si>
  <si>
    <t>T ºC</t>
  </si>
  <si>
    <t>T K</t>
  </si>
  <si>
    <t>Rdiv</t>
  </si>
  <si>
    <t>Hz</t>
  </si>
  <si>
    <t>c.p.m.</t>
  </si>
  <si>
    <t>Rands</t>
  </si>
  <si>
    <t>#</t>
  </si>
  <si>
    <t>A</t>
  </si>
  <si>
    <t>Bits A</t>
  </si>
  <si>
    <t>Bits B</t>
  </si>
  <si>
    <t>Escalado A</t>
  </si>
  <si>
    <t>Escalado B</t>
  </si>
  <si>
    <t>Bits A&lt;&lt;</t>
  </si>
  <si>
    <t>Bits B&lt;&lt;</t>
  </si>
  <si>
    <t>acc *= x;</t>
  </si>
  <si>
    <t>acc -= b;</t>
  </si>
  <si>
    <t>Cálculo lookup table para TermoGeiger</t>
  </si>
  <si>
    <t>T bucle</t>
  </si>
  <si>
    <t>us</t>
  </si>
  <si>
    <t>F bucle</t>
  </si>
  <si>
    <t>Min cpm</t>
  </si>
  <si>
    <t>Max cpm</t>
  </si>
  <si>
    <t>bits</t>
  </si>
  <si>
    <t>Exposure (X)</t>
  </si>
  <si>
    <t>röntgen</t>
  </si>
  <si>
    <t>R</t>
  </si>
  <si>
    <t>Activity (A)</t>
  </si>
  <si>
    <t>rutherford</t>
  </si>
  <si>
    <t>Rd</t>
  </si>
  <si>
    <t>1,000,000 Bq</t>
  </si>
  <si>
    <t>Absorbed dose (D)</t>
  </si>
  <si>
    <t>curie</t>
  </si>
  <si>
    <t>Ci</t>
  </si>
  <si>
    <t>3.7×1010 Bq</t>
  </si>
  <si>
    <t>rad</t>
  </si>
  <si>
    <t>0.010 Gy</t>
  </si>
  <si>
    <t>Dose equivalent(H)</t>
  </si>
  <si>
    <t>röntgen equivalent man</t>
  </si>
  <si>
    <t>rem</t>
  </si>
  <si>
    <t>becquerel</t>
  </si>
  <si>
    <t>Bq</t>
  </si>
  <si>
    <t>SI unit</t>
  </si>
  <si>
    <t>coulomb per kilogram</t>
  </si>
  <si>
    <t>C/kg</t>
  </si>
  <si>
    <t>gray</t>
  </si>
  <si>
    <t>Gy</t>
  </si>
  <si>
    <t>sievert</t>
  </si>
  <si>
    <t>Sv</t>
  </si>
  <si>
    <t>Rayos anódicos (protones e iones positivos)</t>
  </si>
  <si>
    <t>Rontgen descubre Rayos X</t>
  </si>
  <si>
    <t>Geissler inventa el tubo de descarga</t>
  </si>
  <si>
    <t>Se popularizan las placas fotograficas Lumiere / Agfa</t>
  </si>
  <si>
    <t>Se perfecciona la bomba de vacío</t>
  </si>
  <si>
    <t>Se inventa el tubo de Crookes y se proponen los rayos catódicos</t>
  </si>
  <si>
    <t>Ya se venden tubos de Geissler como entretenimiento</t>
  </si>
  <si>
    <t>Becquerel descubre sales uranio velan placa</t>
  </si>
  <si>
    <t>Fermi descubre la fision</t>
  </si>
  <si>
    <t>Rutherford teoriza el neutron</t>
  </si>
  <si>
    <t>Chadwick descubre el neutron</t>
  </si>
  <si>
    <t>Pierre y Marie Curie descubren el polonio y el radio</t>
  </si>
  <si>
    <t>Rutherford descubre el protón</t>
  </si>
  <si>
    <t>Rutherford separa radiación positiva y negativa</t>
  </si>
  <si>
    <t>Villard descubre radiación neutra</t>
  </si>
  <si>
    <t>Rutherford nombra rayos Gamma</t>
  </si>
  <si>
    <t>Se inventa la cámara de niebla</t>
  </si>
  <si>
    <t>Experimento de la gota de aceite</t>
  </si>
  <si>
    <t>Camaras de iones</t>
  </si>
  <si>
    <t>Unidad de ionización, medible por camaras de iones</t>
  </si>
  <si>
    <t>Se redefine el REM como 0.010 Sv</t>
  </si>
  <si>
    <t>"dose of any ionizing radiation which produces biological effect equal to one roentgen of high-voltage x-radiation."</t>
  </si>
  <si>
    <t>Dosis biologica</t>
  </si>
  <si>
    <t>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</si>
</sst>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ck">
        <color indexed="64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22">
    <xf numFmtId="0" fontId="0" fillId="0" borderId="0" xfId="0"/>
    <xf numFmtId="2" fontId="0" fillId="0" borderId="0" xfId="0" applyNumberFormat="1"/>
    <xf numFmtId="1" fontId="0" fillId="0" borderId="0" xfId="0" applyNumberFormat="1"/>
    <xf numFmtId="0" fontId="2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/>
    <xf numFmtId="0" fontId="2" fillId="2" borderId="1" xfId="0" applyFont="1" applyFill="1" applyBorder="1"/>
    <xf numFmtId="0" fontId="0" fillId="0" borderId="0" xfId="0" applyFill="1"/>
    <xf numFmtId="0" fontId="3" fillId="0" borderId="0" xfId="0" applyFont="1"/>
    <xf numFmtId="0" fontId="1" fillId="3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0" fillId="0" borderId="0" xfId="0" applyFont="1" applyFill="1" applyBorder="1"/>
    <xf numFmtId="0" fontId="4" fillId="3" borderId="1" xfId="0" applyFont="1" applyFill="1" applyBorder="1"/>
    <xf numFmtId="0" fontId="4" fillId="3" borderId="6" xfId="0" applyFont="1" applyFill="1" applyBorder="1"/>
    <xf numFmtId="0" fontId="1" fillId="3" borderId="6" xfId="0" applyFont="1" applyFill="1" applyBorder="1"/>
    <xf numFmtId="0" fontId="1" fillId="3" borderId="3" xfId="0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24882837726552E-2"/>
          <c:y val="8.5470085470085472E-2"/>
          <c:w val="0.84816628451917553"/>
          <c:h val="0.6998692471133417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xVal>
            <c:numRef>
              <c:f>Hoja3!$A$14:$A$19</c:f>
              <c:numCache>
                <c:formatCode>General</c:formatCode>
                <c:ptCount val="6"/>
                <c:pt idx="0">
                  <c:v>-40</c:v>
                </c:pt>
                <c:pt idx="1">
                  <c:v>0</c:v>
                </c:pt>
                <c:pt idx="2">
                  <c:v>30</c:v>
                </c:pt>
                <c:pt idx="3">
                  <c:v>50</c:v>
                </c:pt>
                <c:pt idx="4">
                  <c:v>75</c:v>
                </c:pt>
                <c:pt idx="5">
                  <c:v>125</c:v>
                </c:pt>
              </c:numCache>
            </c:numRef>
          </c:xVal>
          <c:yVal>
            <c:numRef>
              <c:f>Hoja3!$F$14:$F$19</c:f>
              <c:numCache>
                <c:formatCode>General</c:formatCode>
                <c:ptCount val="6"/>
                <c:pt idx="0">
                  <c:v>1</c:v>
                </c:pt>
                <c:pt idx="1">
                  <c:v>10</c:v>
                </c:pt>
                <c:pt idx="2">
                  <c:v>60</c:v>
                </c:pt>
                <c:pt idx="3">
                  <c:v>600</c:v>
                </c:pt>
                <c:pt idx="4">
                  <c:v>6000</c:v>
                </c:pt>
                <c:pt idx="5">
                  <c:v>133333.33333333334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0C-4976-A1CB-B7617BD14D6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78472512"/>
        <c:axId val="93761176"/>
      </c:scatterChart>
      <c:valAx>
        <c:axId val="178472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Temperatura ºC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3761176"/>
        <c:crosses val="autoZero"/>
        <c:crossBetween val="midCat"/>
      </c:valAx>
      <c:valAx>
        <c:axId val="9376117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cpm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8472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2002537182852144"/>
          <c:y val="0.17171296296296298"/>
          <c:w val="0.83319685039370084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Hoja3!$E$14:$E$19</c:f>
              <c:numCache>
                <c:formatCode>General</c:formatCode>
                <c:ptCount val="6"/>
                <c:pt idx="0">
                  <c:v>8</c:v>
                </c:pt>
                <c:pt idx="1">
                  <c:v>64</c:v>
                </c:pt>
                <c:pt idx="2">
                  <c:v>144</c:v>
                </c:pt>
                <c:pt idx="3">
                  <c:v>188</c:v>
                </c:pt>
                <c:pt idx="4">
                  <c:v>221</c:v>
                </c:pt>
                <c:pt idx="5">
                  <c:v>245</c:v>
                </c:pt>
              </c:numCache>
            </c:numRef>
          </c:xVal>
          <c:yVal>
            <c:numRef>
              <c:f>Hoja3!$G$14:$G$19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29</c:v>
                </c:pt>
                <c:pt idx="3">
                  <c:v>295</c:v>
                </c:pt>
                <c:pt idx="4">
                  <c:v>2949</c:v>
                </c:pt>
                <c:pt idx="5">
                  <c:v>65535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59408"/>
        <c:axId val="178524704"/>
      </c:scatterChart>
      <c:valAx>
        <c:axId val="93859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8524704"/>
        <c:crosses val="autoZero"/>
        <c:crossBetween val="midCat"/>
      </c:valAx>
      <c:valAx>
        <c:axId val="17852470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3859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708660</xdr:colOff>
      <xdr:row>1</xdr:row>
      <xdr:rowOff>114300</xdr:rowOff>
    </xdr:from>
    <xdr:to>
      <xdr:col>10</xdr:col>
      <xdr:colOff>685800</xdr:colOff>
      <xdr:row>11</xdr:row>
      <xdr:rowOff>68580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4C5212D1-2938-40C4-8188-9B2F7E6F7F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266700</xdr:colOff>
      <xdr:row>27</xdr:row>
      <xdr:rowOff>31750</xdr:rowOff>
    </xdr:from>
    <xdr:to>
      <xdr:col>8</xdr:col>
      <xdr:colOff>368300</xdr:colOff>
      <xdr:row>42</xdr:row>
      <xdr:rowOff>12700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H16" sqref="H16"/>
    </sheetView>
  </sheetViews>
  <sheetFormatPr baseColWidth="10" defaultRowHeight="14.5" x14ac:dyDescent="0.35"/>
  <cols>
    <col min="1" max="1" width="9.54296875" customWidth="1"/>
    <col min="2" max="2" width="7.6328125" customWidth="1"/>
    <col min="3" max="3" width="8.90625" customWidth="1"/>
    <col min="4" max="4" width="5.90625" customWidth="1"/>
    <col min="5" max="5" width="8.81640625" customWidth="1"/>
    <col min="13" max="13" width="65" customWidth="1"/>
  </cols>
  <sheetData>
    <row r="1" spans="1:13" ht="26" x14ac:dyDescent="0.6">
      <c r="A1" s="9" t="s">
        <v>24</v>
      </c>
    </row>
    <row r="2" spans="1:13" s="8" customFormat="1" x14ac:dyDescent="0.35"/>
    <row r="3" spans="1:13" x14ac:dyDescent="0.35">
      <c r="A3" s="7" t="s">
        <v>0</v>
      </c>
      <c r="B3" s="7">
        <v>9500</v>
      </c>
      <c r="C3" s="11" t="s">
        <v>2</v>
      </c>
      <c r="D3" s="13"/>
    </row>
    <row r="4" spans="1:13" x14ac:dyDescent="0.35">
      <c r="A4" s="7" t="s">
        <v>1</v>
      </c>
      <c r="B4" s="7">
        <v>3723</v>
      </c>
      <c r="C4" s="11" t="s">
        <v>3</v>
      </c>
      <c r="D4" s="13"/>
    </row>
    <row r="5" spans="1:13" x14ac:dyDescent="0.35">
      <c r="A5" s="7" t="s">
        <v>10</v>
      </c>
      <c r="B5" s="7">
        <v>10000</v>
      </c>
      <c r="C5" s="11" t="s">
        <v>2</v>
      </c>
      <c r="D5" s="13"/>
    </row>
    <row r="7" spans="1:13" x14ac:dyDescent="0.35">
      <c r="A7" s="14" t="s">
        <v>25</v>
      </c>
      <c r="B7" s="7">
        <v>450</v>
      </c>
      <c r="C7" s="12" t="s">
        <v>26</v>
      </c>
      <c r="E7" t="s">
        <v>27</v>
      </c>
      <c r="F7" s="16">
        <f>1/B7*1000000</f>
        <v>2222.2222222222222</v>
      </c>
      <c r="G7" t="s">
        <v>11</v>
      </c>
      <c r="L7">
        <f>F7/37000000000*1000000</f>
        <v>6.0060060060060066E-2</v>
      </c>
    </row>
    <row r="8" spans="1:13" x14ac:dyDescent="0.35">
      <c r="A8" s="12" t="s">
        <v>13</v>
      </c>
      <c r="B8" s="15">
        <v>65535</v>
      </c>
      <c r="C8" s="7" t="s">
        <v>14</v>
      </c>
      <c r="E8" t="s">
        <v>28</v>
      </c>
      <c r="F8">
        <f>F7/B8*60</f>
        <v>2.0345362528928566</v>
      </c>
    </row>
    <row r="9" spans="1:13" x14ac:dyDescent="0.35">
      <c r="A9" s="12" t="s">
        <v>6</v>
      </c>
      <c r="B9" s="7">
        <v>8</v>
      </c>
      <c r="C9" s="7" t="s">
        <v>30</v>
      </c>
      <c r="E9" t="s">
        <v>29</v>
      </c>
      <c r="F9">
        <f>F7*60</f>
        <v>133333.33333333334</v>
      </c>
    </row>
    <row r="13" spans="1:13" x14ac:dyDescent="0.35">
      <c r="A13" s="7" t="s">
        <v>8</v>
      </c>
      <c r="B13" s="3" t="s">
        <v>9</v>
      </c>
      <c r="C13" s="3" t="s">
        <v>4</v>
      </c>
      <c r="D13" s="3" t="s">
        <v>5</v>
      </c>
      <c r="E13" s="18" t="s">
        <v>6</v>
      </c>
      <c r="F13" s="12" t="s">
        <v>12</v>
      </c>
      <c r="G13" s="3" t="s">
        <v>7</v>
      </c>
      <c r="H13" s="3" t="s">
        <v>15</v>
      </c>
      <c r="I13" s="3" t="s">
        <v>1</v>
      </c>
      <c r="J13" s="17" t="str">
        <f>"A&lt;&lt;"&amp;H26</f>
        <v>A&lt;&lt;12</v>
      </c>
      <c r="K13" s="17" t="str">
        <f>"B&lt;&lt;"&amp;I26</f>
        <v>B&lt;&lt;11</v>
      </c>
      <c r="M13" s="6"/>
    </row>
    <row r="14" spans="1:13" x14ac:dyDescent="0.35">
      <c r="A14" s="7">
        <v>-40</v>
      </c>
      <c r="B14">
        <f>A14+273.15</f>
        <v>233.14999999999998</v>
      </c>
      <c r="C14" s="2">
        <f>$B$3*EXP($B$4*((1/B14)-(1/298.15)))</f>
        <v>308755.40338005486</v>
      </c>
      <c r="D14" s="1">
        <f>5*$B$5/(C14+$B$5)</f>
        <v>0.15686008604028137</v>
      </c>
      <c r="E14" s="19">
        <f t="shared" ref="E14:E19" si="0">ROUNDDOWN(2^$B$9/5*D14,0)</f>
        <v>8</v>
      </c>
      <c r="F14" s="12">
        <v>1</v>
      </c>
      <c r="G14">
        <f t="shared" ref="G14:G19" si="1">ROUND(F14/($F$7/$B$8*60),0)</f>
        <v>0</v>
      </c>
      <c r="H14" s="1">
        <v>0</v>
      </c>
      <c r="I14" s="1">
        <v>0</v>
      </c>
      <c r="J14" s="10">
        <f t="shared" ref="J14:J19" si="2">ROUND(H14*2^$H$26,0)</f>
        <v>0</v>
      </c>
      <c r="K14" s="10">
        <f t="shared" ref="K14:K19" si="3">ROUND(I14*2^$I$26,0)</f>
        <v>0</v>
      </c>
      <c r="M14" t="e">
        <f ca="1">"const int8 app_table_x[] = "&amp;"{"&amp;_xlfn.TEXTJOIN(",",TRUE,E14:E22)&amp;"};"</f>
        <v>#NAME?</v>
      </c>
    </row>
    <row r="15" spans="1:13" x14ac:dyDescent="0.35">
      <c r="A15" s="7">
        <v>0</v>
      </c>
      <c r="B15">
        <f t="shared" ref="B15:B19" si="4">A15+273.15</f>
        <v>273.14999999999998</v>
      </c>
      <c r="C15" s="2">
        <f t="shared" ref="C15:C19" si="5">$B$3*EXP($B$4*((1/B15)-(1/298.15)))</f>
        <v>29789.688438065798</v>
      </c>
      <c r="D15" s="1">
        <f t="shared" ref="D15:D19" si="6">5*$B$5/(C15+$B$5)</f>
        <v>1.2566069743880239</v>
      </c>
      <c r="E15" s="19">
        <f t="shared" si="0"/>
        <v>64</v>
      </c>
      <c r="F15" s="12">
        <v>10</v>
      </c>
      <c r="G15">
        <f t="shared" si="1"/>
        <v>5</v>
      </c>
      <c r="H15" s="1">
        <f>(G15-G14)/(E15-E14)</f>
        <v>8.9285714285714288E-2</v>
      </c>
      <c r="I15" s="1">
        <f>-(G14-H15*E14)</f>
        <v>0.7142857142857143</v>
      </c>
      <c r="J15" s="10">
        <f t="shared" si="2"/>
        <v>366</v>
      </c>
      <c r="K15" s="10">
        <f t="shared" si="3"/>
        <v>1463</v>
      </c>
      <c r="M15" t="e">
        <f ca="1">"const int8 app_table_a[] = "&amp;"{"&amp;_xlfn.TEXTJOIN(",",TRUE,J14:J21)&amp;"};"</f>
        <v>#NAME?</v>
      </c>
    </row>
    <row r="16" spans="1:13" x14ac:dyDescent="0.35">
      <c r="A16" s="7">
        <v>30</v>
      </c>
      <c r="B16">
        <f t="shared" si="4"/>
        <v>303.14999999999998</v>
      </c>
      <c r="C16" s="2">
        <f t="shared" si="5"/>
        <v>7731.7683264270217</v>
      </c>
      <c r="D16" s="1">
        <f t="shared" si="6"/>
        <v>2.8197977257282987</v>
      </c>
      <c r="E16" s="19">
        <f t="shared" si="0"/>
        <v>144</v>
      </c>
      <c r="F16" s="12">
        <v>60</v>
      </c>
      <c r="G16">
        <f t="shared" si="1"/>
        <v>29</v>
      </c>
      <c r="H16" s="1">
        <f t="shared" ref="H16:H19" si="7">(G16-G15)/(E16-E15)</f>
        <v>0.3</v>
      </c>
      <c r="I16" s="1">
        <f t="shared" ref="I16:I19" si="8">-(G15-H16*E15)</f>
        <v>14.2</v>
      </c>
      <c r="J16" s="10">
        <f t="shared" si="2"/>
        <v>1229</v>
      </c>
      <c r="K16" s="10">
        <f t="shared" si="3"/>
        <v>29082</v>
      </c>
      <c r="M16" t="e">
        <f ca="1">"const int8 app_table_b[] = "&amp;"{"&amp;_xlfn.TEXTJOIN(",",TRUE,K14:K21)&amp;"};"</f>
        <v>#NAME?</v>
      </c>
    </row>
    <row r="17" spans="1:13" x14ac:dyDescent="0.35">
      <c r="A17" s="7">
        <v>50</v>
      </c>
      <c r="B17">
        <f t="shared" si="4"/>
        <v>323.14999999999998</v>
      </c>
      <c r="C17" s="2">
        <f t="shared" si="5"/>
        <v>3615.5865906629388</v>
      </c>
      <c r="D17" s="1">
        <f t="shared" si="6"/>
        <v>3.6722619085899786</v>
      </c>
      <c r="E17" s="19">
        <f t="shared" si="0"/>
        <v>188</v>
      </c>
      <c r="F17" s="12">
        <v>600</v>
      </c>
      <c r="G17">
        <f t="shared" si="1"/>
        <v>295</v>
      </c>
      <c r="H17" s="1">
        <f t="shared" si="7"/>
        <v>6.0454545454545459</v>
      </c>
      <c r="I17" s="1">
        <f t="shared" si="8"/>
        <v>841.54545454545462</v>
      </c>
      <c r="J17" s="10">
        <f t="shared" si="2"/>
        <v>24762</v>
      </c>
      <c r="K17" s="10">
        <f t="shared" si="3"/>
        <v>1723485</v>
      </c>
    </row>
    <row r="18" spans="1:13" x14ac:dyDescent="0.35">
      <c r="A18" s="7">
        <v>75</v>
      </c>
      <c r="B18">
        <f t="shared" si="4"/>
        <v>348.15</v>
      </c>
      <c r="C18" s="2">
        <f t="shared" si="5"/>
        <v>1580.8380777095808</v>
      </c>
      <c r="D18" s="1">
        <f t="shared" si="6"/>
        <v>4.3174768237402752</v>
      </c>
      <c r="E18" s="19">
        <f t="shared" si="0"/>
        <v>221</v>
      </c>
      <c r="F18" s="12">
        <v>6000</v>
      </c>
      <c r="G18">
        <f t="shared" si="1"/>
        <v>2949</v>
      </c>
      <c r="H18" s="1">
        <f t="shared" si="7"/>
        <v>80.424242424242422</v>
      </c>
      <c r="I18" s="1">
        <f t="shared" si="8"/>
        <v>14824.757575757576</v>
      </c>
      <c r="J18" s="10">
        <f t="shared" si="2"/>
        <v>329418</v>
      </c>
      <c r="K18" s="10">
        <f t="shared" si="3"/>
        <v>30361104</v>
      </c>
      <c r="M18" t="s">
        <v>22</v>
      </c>
    </row>
    <row r="19" spans="1:13" x14ac:dyDescent="0.35">
      <c r="A19" s="7">
        <v>125</v>
      </c>
      <c r="B19">
        <f t="shared" si="4"/>
        <v>398.15</v>
      </c>
      <c r="C19" s="2">
        <f t="shared" si="5"/>
        <v>412.72895618868523</v>
      </c>
      <c r="D19" s="1">
        <f t="shared" si="6"/>
        <v>4.8018151831641678</v>
      </c>
      <c r="E19" s="19">
        <f t="shared" si="0"/>
        <v>245</v>
      </c>
      <c r="F19" s="12">
        <f>F9</f>
        <v>133333.33333333334</v>
      </c>
      <c r="G19">
        <f t="shared" si="1"/>
        <v>65535</v>
      </c>
      <c r="H19" s="1">
        <f t="shared" si="7"/>
        <v>2607.75</v>
      </c>
      <c r="I19" s="1">
        <f t="shared" si="8"/>
        <v>573363.75</v>
      </c>
      <c r="J19" s="10">
        <f t="shared" si="2"/>
        <v>10681344</v>
      </c>
      <c r="K19" s="10">
        <f t="shared" si="3"/>
        <v>1174248960</v>
      </c>
      <c r="M19" t="str">
        <f>"acc &gt;&gt;="&amp;H26-I26 &amp;";"</f>
        <v>acc &gt;&gt;=1;</v>
      </c>
    </row>
    <row r="20" spans="1:13" x14ac:dyDescent="0.35">
      <c r="A20" s="3"/>
      <c r="F20" s="3"/>
      <c r="M20" t="s">
        <v>23</v>
      </c>
    </row>
    <row r="21" spans="1:13" x14ac:dyDescent="0.35">
      <c r="A21" s="3"/>
      <c r="M21" t="str">
        <f>"acc &gt;&gt;="&amp;I26 &amp;";"</f>
        <v>acc &gt;&gt;=11;</v>
      </c>
    </row>
    <row r="22" spans="1:13" ht="14.4" customHeight="1" x14ac:dyDescent="0.35">
      <c r="H22" t="s">
        <v>16</v>
      </c>
      <c r="I22" t="s">
        <v>17</v>
      </c>
      <c r="J22" t="s">
        <v>20</v>
      </c>
      <c r="K22" t="s">
        <v>21</v>
      </c>
    </row>
    <row r="23" spans="1:13" x14ac:dyDescent="0.35">
      <c r="A23" s="5"/>
      <c r="B23" s="5"/>
      <c r="C23" s="5"/>
      <c r="D23" s="5"/>
      <c r="E23" s="5"/>
      <c r="F23" s="5"/>
      <c r="H23">
        <f>ROUNDUP(LOG(MAX(H14:H21),2),0)</f>
        <v>12</v>
      </c>
      <c r="I23">
        <f>ROUNDUP(LOG(MAX(I14:I21),2),0)</f>
        <v>20</v>
      </c>
      <c r="J23">
        <f>ROUNDUP(LOG(MAX(J14:J21),2),0)</f>
        <v>24</v>
      </c>
      <c r="K23">
        <f>ROUNDUP(LOG(MAX(K14:K21),2),0)</f>
        <v>31</v>
      </c>
    </row>
    <row r="24" spans="1:13" x14ac:dyDescent="0.35">
      <c r="A24" s="4"/>
      <c r="B24" s="4"/>
      <c r="C24" s="4"/>
      <c r="D24" s="4"/>
      <c r="E24" s="4"/>
      <c r="F24" s="4"/>
    </row>
    <row r="25" spans="1:13" x14ac:dyDescent="0.35">
      <c r="A25" s="4"/>
      <c r="B25" s="4"/>
      <c r="C25" s="4"/>
      <c r="D25" s="4"/>
      <c r="E25" s="4"/>
      <c r="F25" s="4"/>
      <c r="H25" s="10" t="s">
        <v>18</v>
      </c>
      <c r="I25" s="10" t="s">
        <v>19</v>
      </c>
    </row>
    <row r="26" spans="1:13" x14ac:dyDescent="0.35">
      <c r="G26" s="21"/>
      <c r="H26" s="20">
        <f>32-B9-H23</f>
        <v>12</v>
      </c>
      <c r="I26" s="10">
        <f>31-I23</f>
        <v>11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6" workbookViewId="0">
      <selection activeCell="D27" sqref="D27"/>
    </sheetView>
  </sheetViews>
  <sheetFormatPr baseColWidth="10" defaultRowHeight="14.5" x14ac:dyDescent="0.35"/>
  <cols>
    <col min="1" max="1" width="22.36328125" customWidth="1"/>
    <col min="2" max="2" width="24.90625" customWidth="1"/>
    <col min="3" max="3" width="7.1796875" customWidth="1"/>
    <col min="4" max="4" width="9.1796875" customWidth="1"/>
    <col min="5" max="5" width="18.26953125" customWidth="1"/>
  </cols>
  <sheetData>
    <row r="1" spans="4:5" x14ac:dyDescent="0.35">
      <c r="D1">
        <v>1857</v>
      </c>
      <c r="E1" t="s">
        <v>58</v>
      </c>
    </row>
    <row r="2" spans="4:5" x14ac:dyDescent="0.35">
      <c r="D2">
        <v>1865</v>
      </c>
      <c r="E2" t="s">
        <v>60</v>
      </c>
    </row>
    <row r="3" spans="4:5" x14ac:dyDescent="0.35">
      <c r="D3">
        <v>1869</v>
      </c>
      <c r="E3" t="s">
        <v>61</v>
      </c>
    </row>
    <row r="4" spans="4:5" x14ac:dyDescent="0.35">
      <c r="D4">
        <v>1880</v>
      </c>
      <c r="E4" t="s">
        <v>62</v>
      </c>
    </row>
    <row r="5" spans="4:5" x14ac:dyDescent="0.35">
      <c r="D5">
        <v>1880</v>
      </c>
      <c r="E5" t="s">
        <v>59</v>
      </c>
    </row>
    <row r="6" spans="4:5" x14ac:dyDescent="0.35">
      <c r="D6">
        <v>1886</v>
      </c>
      <c r="E6" t="s">
        <v>56</v>
      </c>
    </row>
    <row r="7" spans="4:5" x14ac:dyDescent="0.35">
      <c r="D7">
        <v>1895</v>
      </c>
      <c r="E7" t="s">
        <v>57</v>
      </c>
    </row>
    <row r="8" spans="4:5" x14ac:dyDescent="0.35">
      <c r="D8">
        <v>1896</v>
      </c>
      <c r="E8" t="s">
        <v>63</v>
      </c>
    </row>
    <row r="9" spans="4:5" x14ac:dyDescent="0.35">
      <c r="D9">
        <v>1898</v>
      </c>
      <c r="E9" t="s">
        <v>67</v>
      </c>
    </row>
    <row r="10" spans="4:5" x14ac:dyDescent="0.35">
      <c r="D10">
        <v>1899</v>
      </c>
      <c r="E10" t="s">
        <v>69</v>
      </c>
    </row>
    <row r="11" spans="4:5" x14ac:dyDescent="0.35">
      <c r="D11">
        <v>1900</v>
      </c>
      <c r="E11" t="s">
        <v>74</v>
      </c>
    </row>
    <row r="12" spans="4:5" x14ac:dyDescent="0.35">
      <c r="D12">
        <v>1900</v>
      </c>
      <c r="E12" t="s">
        <v>70</v>
      </c>
    </row>
    <row r="13" spans="4:5" x14ac:dyDescent="0.35">
      <c r="D13">
        <v>1903</v>
      </c>
      <c r="E13" t="s">
        <v>71</v>
      </c>
    </row>
    <row r="14" spans="4:5" x14ac:dyDescent="0.35">
      <c r="D14">
        <v>1909</v>
      </c>
      <c r="E14" t="s">
        <v>73</v>
      </c>
    </row>
    <row r="15" spans="4:5" x14ac:dyDescent="0.35">
      <c r="D15">
        <v>1911</v>
      </c>
      <c r="E15" t="s">
        <v>72</v>
      </c>
    </row>
    <row r="16" spans="4:5" x14ac:dyDescent="0.35">
      <c r="D16">
        <v>1918</v>
      </c>
      <c r="E16" t="s">
        <v>68</v>
      </c>
    </row>
    <row r="17" spans="1:5" x14ac:dyDescent="0.35">
      <c r="D17">
        <v>1920</v>
      </c>
      <c r="E17" t="s">
        <v>65</v>
      </c>
    </row>
    <row r="18" spans="1:5" x14ac:dyDescent="0.35">
      <c r="A18" t="s">
        <v>31</v>
      </c>
      <c r="B18" t="s">
        <v>32</v>
      </c>
      <c r="C18" t="s">
        <v>33</v>
      </c>
      <c r="D18">
        <v>1928</v>
      </c>
      <c r="E18" t="s">
        <v>75</v>
      </c>
    </row>
    <row r="19" spans="1:5" x14ac:dyDescent="0.35">
      <c r="D19">
        <v>1932</v>
      </c>
      <c r="E19" t="s">
        <v>66</v>
      </c>
    </row>
    <row r="20" spans="1:5" x14ac:dyDescent="0.35">
      <c r="D20">
        <v>1934</v>
      </c>
      <c r="E20" t="s">
        <v>64</v>
      </c>
    </row>
    <row r="21" spans="1:5" x14ac:dyDescent="0.35">
      <c r="A21" t="s">
        <v>34</v>
      </c>
      <c r="B21" t="s">
        <v>35</v>
      </c>
      <c r="C21" t="s">
        <v>36</v>
      </c>
      <c r="D21">
        <v>1946</v>
      </c>
      <c r="E21" t="s">
        <v>37</v>
      </c>
    </row>
    <row r="22" spans="1:5" x14ac:dyDescent="0.35">
      <c r="A22" t="s">
        <v>78</v>
      </c>
      <c r="B22" t="s">
        <v>46</v>
      </c>
      <c r="C22" t="s">
        <v>79</v>
      </c>
      <c r="D22">
        <v>1950</v>
      </c>
      <c r="E22" t="s">
        <v>77</v>
      </c>
    </row>
    <row r="23" spans="1:5" x14ac:dyDescent="0.35">
      <c r="A23" t="s">
        <v>34</v>
      </c>
      <c r="B23" t="s">
        <v>39</v>
      </c>
      <c r="C23" t="s">
        <v>40</v>
      </c>
      <c r="D23">
        <v>1953</v>
      </c>
      <c r="E23" t="s">
        <v>41</v>
      </c>
    </row>
    <row r="24" spans="1:5" x14ac:dyDescent="0.35">
      <c r="A24" t="s">
        <v>38</v>
      </c>
      <c r="B24" t="s">
        <v>42</v>
      </c>
      <c r="C24" t="s">
        <v>42</v>
      </c>
      <c r="D24">
        <v>1953</v>
      </c>
      <c r="E24" t="s">
        <v>43</v>
      </c>
    </row>
    <row r="25" spans="1:5" x14ac:dyDescent="0.35">
      <c r="A25" t="s">
        <v>44</v>
      </c>
      <c r="B25" t="s">
        <v>45</v>
      </c>
      <c r="C25" t="s">
        <v>46</v>
      </c>
      <c r="D25">
        <v>1971</v>
      </c>
      <c r="E25" t="s">
        <v>76</v>
      </c>
    </row>
    <row r="26" spans="1:5" x14ac:dyDescent="0.35">
      <c r="A26" t="s">
        <v>34</v>
      </c>
      <c r="B26" t="s">
        <v>47</v>
      </c>
      <c r="C26" t="s">
        <v>48</v>
      </c>
      <c r="D26">
        <v>1974</v>
      </c>
      <c r="E26" t="s">
        <v>49</v>
      </c>
    </row>
    <row r="27" spans="1:5" x14ac:dyDescent="0.35">
      <c r="A27" t="s">
        <v>31</v>
      </c>
      <c r="B27" t="s">
        <v>50</v>
      </c>
      <c r="C27" t="s">
        <v>51</v>
      </c>
      <c r="D27">
        <v>1974</v>
      </c>
      <c r="E27" t="s">
        <v>49</v>
      </c>
    </row>
    <row r="28" spans="1:5" x14ac:dyDescent="0.35">
      <c r="A28" t="s">
        <v>38</v>
      </c>
      <c r="B28" t="s">
        <v>52</v>
      </c>
      <c r="C28" t="s">
        <v>53</v>
      </c>
      <c r="D28">
        <v>1974</v>
      </c>
      <c r="E28" t="s">
        <v>49</v>
      </c>
    </row>
    <row r="29" spans="1:5" x14ac:dyDescent="0.35">
      <c r="A29" t="s">
        <v>44</v>
      </c>
      <c r="B29" t="s">
        <v>54</v>
      </c>
      <c r="C29" t="s">
        <v>55</v>
      </c>
      <c r="D29">
        <v>1977</v>
      </c>
      <c r="E29" t="s">
        <v>49</v>
      </c>
    </row>
  </sheetData>
  <sortState ref="A1:E21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Reinoso</dc:creator>
  <cp:lastModifiedBy>Reinoso</cp:lastModifiedBy>
  <dcterms:created xsi:type="dcterms:W3CDTF">2019-06-11T20:09:48Z</dcterms:created>
  <dcterms:modified xsi:type="dcterms:W3CDTF">2019-06-24T20:00:30Z</dcterms:modified>
</cp:coreProperties>
</file>